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RFP\2019 OAA RFP\"/>
    </mc:Choice>
  </mc:AlternateContent>
  <bookViews>
    <workbookView xWindow="0" yWindow="0" windowWidth="28800" windowHeight="14100"/>
  </bookViews>
  <sheets>
    <sheet name="OAA FUNDING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F39" i="2"/>
  <c r="F38" i="2"/>
  <c r="F37" i="2"/>
  <c r="F36" i="2"/>
  <c r="F35" i="2"/>
  <c r="F34" i="2"/>
  <c r="E40" i="2" l="1"/>
  <c r="B34" i="2"/>
  <c r="C41" i="2"/>
  <c r="D41" i="2"/>
  <c r="E41" i="2"/>
  <c r="F41" i="2"/>
  <c r="G41" i="2"/>
  <c r="B41" i="2"/>
  <c r="H35" i="2"/>
  <c r="H36" i="2"/>
  <c r="H37" i="2"/>
  <c r="H38" i="2"/>
  <c r="H39" i="2"/>
  <c r="B28" i="2"/>
  <c r="E27" i="2"/>
  <c r="B21" i="2"/>
  <c r="C28" i="2"/>
  <c r="D28" i="2"/>
  <c r="E28" i="2"/>
  <c r="G28" i="2"/>
  <c r="F28" i="2"/>
  <c r="F27" i="2"/>
  <c r="F25" i="2"/>
  <c r="F26" i="2"/>
  <c r="F24" i="2"/>
  <c r="F23" i="2"/>
  <c r="F22" i="2"/>
  <c r="H22" i="2" l="1"/>
  <c r="H23" i="2"/>
  <c r="H24" i="2"/>
  <c r="H25" i="2"/>
  <c r="H26" i="2"/>
  <c r="E14" i="2"/>
  <c r="B8" i="2"/>
  <c r="F12" i="2"/>
  <c r="F11" i="2"/>
  <c r="F14" i="2"/>
  <c r="F13" i="2"/>
  <c r="F10" i="2"/>
  <c r="F9" i="2"/>
  <c r="F8" i="2"/>
  <c r="B15" i="2"/>
  <c r="C15" i="2"/>
  <c r="D15" i="2"/>
  <c r="E15" i="2"/>
  <c r="G15" i="2"/>
  <c r="F15" i="2"/>
  <c r="H9" i="2"/>
  <c r="H10" i="2"/>
  <c r="H11" i="2"/>
  <c r="H12" i="2"/>
  <c r="H13" i="2"/>
  <c r="H40" i="2"/>
  <c r="H34" i="2"/>
  <c r="H41" i="2" s="1"/>
  <c r="H27" i="2"/>
  <c r="H21" i="2"/>
  <c r="H28" i="2" l="1"/>
  <c r="H8" i="2"/>
  <c r="H14" i="2" l="1"/>
  <c r="H15" i="2" s="1"/>
</calcChain>
</file>

<file path=xl/sharedStrings.xml><?xml version="1.0" encoding="utf-8"?>
<sst xmlns="http://schemas.openxmlformats.org/spreadsheetml/2006/main" count="55" uniqueCount="21">
  <si>
    <t>PSA-Wide</t>
  </si>
  <si>
    <t>Total Funds</t>
  </si>
  <si>
    <t>Area Agency on Aging for Southwest Florida, Inc.</t>
  </si>
  <si>
    <t>IIIB</t>
  </si>
  <si>
    <t>IIIC1</t>
  </si>
  <si>
    <t>IIIC2</t>
  </si>
  <si>
    <t>IIIE</t>
  </si>
  <si>
    <t>LEGAL</t>
  </si>
  <si>
    <t>SERVICES</t>
  </si>
  <si>
    <t>CHARLOTTE COUNTY</t>
  </si>
  <si>
    <t>COLLIER COUNTY</t>
  </si>
  <si>
    <t>DESOTO COUNTY</t>
  </si>
  <si>
    <t>GLADES COUNTY</t>
  </si>
  <si>
    <t>HENDRY COUNTY</t>
  </si>
  <si>
    <t>LEE COUNTY</t>
  </si>
  <si>
    <t>SARASOTA COUNTY</t>
  </si>
  <si>
    <t>Total OAA Funds</t>
  </si>
  <si>
    <t>NSIP</t>
  </si>
  <si>
    <t>AS OF 4.8.19</t>
  </si>
  <si>
    <t>OAA Contract  Historical Funding Information</t>
  </si>
  <si>
    <t>Appendix 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</si>
</sst>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4" fontId="0" fillId="0" borderId="1" xfId="0" applyNumberFormat="1" applyBorder="1"/>
    <xf numFmtId="0" fontId="2" fillId="0" borderId="1" xfId="0" applyFont="1" applyBorder="1"/>
    <xf numFmtId="44" fontId="1" fillId="0" borderId="1" xfId="0" applyNumberFormat="1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workbookViewId="0">
      <selection activeCell="R12" sqref="R12"/>
    </sheetView>
  </sheetViews>
  <sheetFormatPr defaultRowHeight="15" x14ac:dyDescent="0.25"/>
  <cols>
    <col min="1" max="1" width="24.42578125" customWidth="1"/>
    <col min="2" max="4" width="14.28515625" bestFit="1" customWidth="1"/>
    <col min="5" max="6" width="12.7109375" customWidth="1"/>
    <col min="7" max="8" width="14.140625" bestFit="1" customWidth="1"/>
  </cols>
  <sheetData>
    <row r="1" spans="1:8" ht="18.75" x14ac:dyDescent="0.3">
      <c r="B1" s="9" t="s">
        <v>20</v>
      </c>
      <c r="C1" s="9"/>
      <c r="D1" s="9"/>
      <c r="E1" s="9"/>
      <c r="F1" s="9"/>
      <c r="G1" s="9"/>
    </row>
    <row r="3" spans="1:8" ht="15.75" x14ac:dyDescent="0.25">
      <c r="B3" s="8" t="s">
        <v>2</v>
      </c>
      <c r="C3" s="8"/>
      <c r="D3" s="8"/>
      <c r="E3" s="8"/>
      <c r="F3" s="8"/>
      <c r="G3" s="8"/>
    </row>
    <row r="4" spans="1:8" ht="15.75" x14ac:dyDescent="0.25">
      <c r="C4" s="8" t="s">
        <v>19</v>
      </c>
      <c r="D4" s="8"/>
      <c r="E4" s="8"/>
      <c r="F4" s="8"/>
    </row>
    <row r="6" spans="1:8" ht="15.75" x14ac:dyDescent="0.25">
      <c r="A6" s="5">
        <v>2019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17</v>
      </c>
      <c r="H6" s="5" t="s">
        <v>0</v>
      </c>
    </row>
    <row r="7" spans="1:8" ht="15.75" x14ac:dyDescent="0.25">
      <c r="A7" s="7" t="s">
        <v>18</v>
      </c>
      <c r="B7" s="6"/>
      <c r="C7" s="6"/>
      <c r="D7" s="6"/>
      <c r="E7" s="6"/>
      <c r="F7" s="6" t="s">
        <v>8</v>
      </c>
      <c r="G7" s="6"/>
      <c r="H7" s="6" t="s">
        <v>1</v>
      </c>
    </row>
    <row r="8" spans="1:8" x14ac:dyDescent="0.25">
      <c r="A8" s="1" t="s">
        <v>9</v>
      </c>
      <c r="B8" s="2">
        <f>251416+56418</f>
        <v>307834</v>
      </c>
      <c r="C8" s="2">
        <v>208590</v>
      </c>
      <c r="D8" s="2">
        <v>154943</v>
      </c>
      <c r="E8" s="2">
        <v>120745</v>
      </c>
      <c r="F8" s="2">
        <f>16171+1241+621</f>
        <v>18033</v>
      </c>
      <c r="G8" s="2">
        <v>26976</v>
      </c>
      <c r="H8" s="2">
        <f t="shared" ref="H8:H14" si="0">SUM(B8:G8)</f>
        <v>837121</v>
      </c>
    </row>
    <row r="9" spans="1:8" x14ac:dyDescent="0.25">
      <c r="A9" s="1" t="s">
        <v>10</v>
      </c>
      <c r="B9" s="2">
        <v>390763</v>
      </c>
      <c r="C9" s="2">
        <v>339117</v>
      </c>
      <c r="D9" s="2">
        <v>297790</v>
      </c>
      <c r="E9" s="2">
        <v>160266</v>
      </c>
      <c r="F9" s="2">
        <f>25438+1953+976</f>
        <v>28367</v>
      </c>
      <c r="G9" s="2">
        <v>47263</v>
      </c>
      <c r="H9" s="2">
        <f t="shared" si="0"/>
        <v>1263566</v>
      </c>
    </row>
    <row r="10" spans="1:8" x14ac:dyDescent="0.25">
      <c r="A10" s="1" t="s">
        <v>11</v>
      </c>
      <c r="B10" s="2">
        <v>88629</v>
      </c>
      <c r="C10" s="2">
        <v>18178</v>
      </c>
      <c r="D10" s="2">
        <v>67088</v>
      </c>
      <c r="E10" s="2">
        <v>35216</v>
      </c>
      <c r="F10" s="2">
        <f>2820+216+108</f>
        <v>3144</v>
      </c>
      <c r="G10" s="2">
        <v>6327</v>
      </c>
      <c r="H10" s="2">
        <f t="shared" si="0"/>
        <v>218582</v>
      </c>
    </row>
    <row r="11" spans="1:8" x14ac:dyDescent="0.25">
      <c r="A11" s="1" t="s">
        <v>12</v>
      </c>
      <c r="B11" s="2">
        <v>72746</v>
      </c>
      <c r="C11" s="2">
        <v>62784</v>
      </c>
      <c r="D11" s="2">
        <v>109750</v>
      </c>
      <c r="E11" s="2">
        <v>26715</v>
      </c>
      <c r="F11" s="2">
        <f>935+72+37</f>
        <v>1044</v>
      </c>
      <c r="G11" s="2">
        <v>12803</v>
      </c>
      <c r="H11" s="2">
        <f t="shared" si="0"/>
        <v>285842</v>
      </c>
    </row>
    <row r="12" spans="1:8" x14ac:dyDescent="0.25">
      <c r="A12" s="1" t="s">
        <v>13</v>
      </c>
      <c r="B12" s="2">
        <v>136398</v>
      </c>
      <c r="C12" s="2">
        <v>54114</v>
      </c>
      <c r="D12" s="2">
        <v>110130</v>
      </c>
      <c r="E12" s="2">
        <v>53733</v>
      </c>
      <c r="F12" s="2">
        <f>3000+251+125</f>
        <v>3376</v>
      </c>
      <c r="G12" s="2">
        <v>12188</v>
      </c>
      <c r="H12" s="2">
        <f t="shared" si="0"/>
        <v>369939</v>
      </c>
    </row>
    <row r="13" spans="1:8" x14ac:dyDescent="0.25">
      <c r="A13" s="1" t="s">
        <v>14</v>
      </c>
      <c r="B13" s="2">
        <v>764139</v>
      </c>
      <c r="C13" s="2">
        <v>567160</v>
      </c>
      <c r="D13" s="2">
        <v>478537</v>
      </c>
      <c r="E13" s="2">
        <v>293990</v>
      </c>
      <c r="F13" s="2">
        <f>47368+3636+1818</f>
        <v>52822</v>
      </c>
      <c r="G13" s="2">
        <v>77598</v>
      </c>
      <c r="H13" s="2">
        <f t="shared" si="0"/>
        <v>2234246</v>
      </c>
    </row>
    <row r="14" spans="1:8" x14ac:dyDescent="0.25">
      <c r="A14" s="1" t="s">
        <v>15</v>
      </c>
      <c r="B14" s="2">
        <v>557953</v>
      </c>
      <c r="C14" s="2">
        <v>341465</v>
      </c>
      <c r="D14" s="2">
        <v>407075</v>
      </c>
      <c r="E14" s="2">
        <f>6000+172914</f>
        <v>178914</v>
      </c>
      <c r="F14" s="2">
        <f>34268+2631+1315</f>
        <v>38214</v>
      </c>
      <c r="G14" s="2">
        <v>55547</v>
      </c>
      <c r="H14" s="2">
        <f t="shared" si="0"/>
        <v>1579168</v>
      </c>
    </row>
    <row r="15" spans="1:8" ht="15.75" x14ac:dyDescent="0.25">
      <c r="A15" s="3" t="s">
        <v>16</v>
      </c>
      <c r="B15" s="4">
        <f t="shared" ref="B15:C15" si="1">SUM(B8:B14)</f>
        <v>2318462</v>
      </c>
      <c r="C15" s="4">
        <f t="shared" si="1"/>
        <v>1591408</v>
      </c>
      <c r="D15" s="4">
        <f t="shared" ref="D15" si="2">SUM(D8:D14)</f>
        <v>1625313</v>
      </c>
      <c r="E15" s="4">
        <f t="shared" ref="E15" si="3">SUM(E8:E14)</f>
        <v>869579</v>
      </c>
      <c r="F15" s="4">
        <f>SUM(F8:F14)</f>
        <v>145000</v>
      </c>
      <c r="G15" s="4">
        <f t="shared" ref="G15" si="4">SUM(G8:G14)</f>
        <v>238702</v>
      </c>
      <c r="H15" s="4">
        <f>SUM(H8:H14)</f>
        <v>6788464</v>
      </c>
    </row>
    <row r="19" spans="1:8" ht="15.75" x14ac:dyDescent="0.25">
      <c r="A19" s="5">
        <v>2018</v>
      </c>
      <c r="B19" s="5" t="s">
        <v>3</v>
      </c>
      <c r="C19" s="5" t="s">
        <v>4</v>
      </c>
      <c r="D19" s="5" t="s">
        <v>5</v>
      </c>
      <c r="E19" s="5" t="s">
        <v>6</v>
      </c>
      <c r="F19" s="5" t="s">
        <v>7</v>
      </c>
      <c r="G19" s="5" t="s">
        <v>17</v>
      </c>
      <c r="H19" s="5" t="s">
        <v>0</v>
      </c>
    </row>
    <row r="20" spans="1:8" ht="15.75" x14ac:dyDescent="0.25">
      <c r="A20" s="7"/>
      <c r="B20" s="6"/>
      <c r="C20" s="6"/>
      <c r="D20" s="6"/>
      <c r="E20" s="6"/>
      <c r="F20" s="6" t="s">
        <v>8</v>
      </c>
      <c r="G20" s="6"/>
      <c r="H20" s="6" t="s">
        <v>1</v>
      </c>
    </row>
    <row r="21" spans="1:8" x14ac:dyDescent="0.25">
      <c r="A21" s="1" t="s">
        <v>9</v>
      </c>
      <c r="B21" s="2">
        <f>251416+64438.25</f>
        <v>315854.25</v>
      </c>
      <c r="C21" s="2">
        <v>220144</v>
      </c>
      <c r="D21" s="2">
        <v>154943</v>
      </c>
      <c r="E21" s="2">
        <v>130745</v>
      </c>
      <c r="F21" s="2">
        <v>30845.3</v>
      </c>
      <c r="G21" s="2">
        <v>24535.21</v>
      </c>
      <c r="H21" s="2">
        <f>SUM(B21:G21)</f>
        <v>877066.76</v>
      </c>
    </row>
    <row r="22" spans="1:8" x14ac:dyDescent="0.25">
      <c r="A22" s="1" t="s">
        <v>10</v>
      </c>
      <c r="B22" s="2">
        <v>372763</v>
      </c>
      <c r="C22" s="2">
        <v>360670</v>
      </c>
      <c r="D22" s="2">
        <v>277790</v>
      </c>
      <c r="E22" s="2">
        <v>160266</v>
      </c>
      <c r="F22" s="2">
        <f>24458.2+575+718.75</f>
        <v>25751.95</v>
      </c>
      <c r="G22" s="2">
        <v>41331.230000000003</v>
      </c>
      <c r="H22" s="2">
        <f t="shared" ref="H22:H26" si="5">SUM(B22:G22)</f>
        <v>1238572.18</v>
      </c>
    </row>
    <row r="23" spans="1:8" x14ac:dyDescent="0.25">
      <c r="A23" s="1" t="s">
        <v>11</v>
      </c>
      <c r="B23" s="2">
        <v>92205.92</v>
      </c>
      <c r="C23" s="2">
        <v>20178</v>
      </c>
      <c r="D23" s="2">
        <v>67088</v>
      </c>
      <c r="E23" s="2">
        <v>35216</v>
      </c>
      <c r="F23" s="2">
        <f>2819.8+510.6</f>
        <v>3330.4</v>
      </c>
      <c r="G23" s="2">
        <v>6159.91</v>
      </c>
      <c r="H23" s="2">
        <f t="shared" si="5"/>
        <v>224178.22999999998</v>
      </c>
    </row>
    <row r="24" spans="1:8" ht="18" customHeight="1" x14ac:dyDescent="0.25">
      <c r="A24" s="1" t="s">
        <v>12</v>
      </c>
      <c r="B24" s="2">
        <v>77746</v>
      </c>
      <c r="C24" s="2">
        <v>75527</v>
      </c>
      <c r="D24" s="2">
        <v>109750</v>
      </c>
      <c r="E24" s="2">
        <v>26715</v>
      </c>
      <c r="F24" s="2">
        <f>1091.35</f>
        <v>1091.3499999999999</v>
      </c>
      <c r="G24" s="2">
        <v>8440.56</v>
      </c>
      <c r="H24" s="2">
        <f t="shared" si="5"/>
        <v>299269.90999999997</v>
      </c>
    </row>
    <row r="25" spans="1:8" x14ac:dyDescent="0.25">
      <c r="A25" s="1" t="s">
        <v>13</v>
      </c>
      <c r="B25" s="2">
        <v>136398</v>
      </c>
      <c r="C25" s="2">
        <v>54114</v>
      </c>
      <c r="D25" s="2">
        <v>110130</v>
      </c>
      <c r="E25" s="2">
        <v>53733</v>
      </c>
      <c r="F25" s="2">
        <f>5384.3+34.5+57.5</f>
        <v>5476.3</v>
      </c>
      <c r="G25" s="2">
        <v>11217.38</v>
      </c>
      <c r="H25" s="2">
        <f t="shared" si="5"/>
        <v>371068.68</v>
      </c>
    </row>
    <row r="26" spans="1:8" x14ac:dyDescent="0.25">
      <c r="A26" s="1" t="s">
        <v>14</v>
      </c>
      <c r="B26" s="2">
        <v>740508.71</v>
      </c>
      <c r="C26" s="2">
        <v>573970.34</v>
      </c>
      <c r="D26" s="2">
        <v>478526.53</v>
      </c>
      <c r="E26" s="2">
        <v>292951</v>
      </c>
      <c r="F26" s="2">
        <f>45802.2+4326.3+3091.2</f>
        <v>53219.7</v>
      </c>
      <c r="G26" s="2">
        <v>69338.080000000002</v>
      </c>
      <c r="H26" s="2">
        <f t="shared" si="5"/>
        <v>2208514.36</v>
      </c>
    </row>
    <row r="27" spans="1:8" x14ac:dyDescent="0.25">
      <c r="A27" s="1" t="s">
        <v>15</v>
      </c>
      <c r="B27" s="2">
        <v>581290.77</v>
      </c>
      <c r="C27" s="2">
        <v>328882</v>
      </c>
      <c r="D27" s="2">
        <v>401892.3</v>
      </c>
      <c r="E27" s="2">
        <f>6000+162619</f>
        <v>168619</v>
      </c>
      <c r="F27" s="2">
        <f>34267.7+4347+1156.9</f>
        <v>39771.599999999999</v>
      </c>
      <c r="G27" s="2">
        <v>50103.88</v>
      </c>
      <c r="H27" s="2">
        <f>SUM(B27:G27)</f>
        <v>1570559.55</v>
      </c>
    </row>
    <row r="28" spans="1:8" ht="15.75" x14ac:dyDescent="0.25">
      <c r="A28" s="3" t="s">
        <v>16</v>
      </c>
      <c r="B28" s="4">
        <f>SUM(B21:B27)</f>
        <v>2316766.65</v>
      </c>
      <c r="C28" s="4">
        <f t="shared" ref="C28:E28" si="6">SUM(C21:C27)</f>
        <v>1633485.3399999999</v>
      </c>
      <c r="D28" s="4">
        <f t="shared" si="6"/>
        <v>1600119.83</v>
      </c>
      <c r="E28" s="4">
        <f t="shared" si="6"/>
        <v>868245</v>
      </c>
      <c r="F28" s="4">
        <f>SUM(F21:F27)</f>
        <v>159486.6</v>
      </c>
      <c r="G28" s="4">
        <f>SUM(G21:G27)</f>
        <v>211126.25</v>
      </c>
      <c r="H28" s="4">
        <f>SUM(H21:H27)</f>
        <v>6789229.6699999999</v>
      </c>
    </row>
    <row r="32" spans="1:8" ht="15.75" x14ac:dyDescent="0.25">
      <c r="A32" s="5">
        <v>2017</v>
      </c>
      <c r="B32" s="5" t="s">
        <v>3</v>
      </c>
      <c r="C32" s="5" t="s">
        <v>4</v>
      </c>
      <c r="D32" s="5" t="s">
        <v>5</v>
      </c>
      <c r="E32" s="5" t="s">
        <v>6</v>
      </c>
      <c r="F32" s="5" t="s">
        <v>7</v>
      </c>
      <c r="G32" s="5" t="s">
        <v>17</v>
      </c>
      <c r="H32" s="5" t="s">
        <v>0</v>
      </c>
    </row>
    <row r="33" spans="1:8" ht="15.75" x14ac:dyDescent="0.25">
      <c r="A33" s="7"/>
      <c r="B33" s="6"/>
      <c r="C33" s="6"/>
      <c r="D33" s="6"/>
      <c r="E33" s="6"/>
      <c r="F33" s="6" t="s">
        <v>8</v>
      </c>
      <c r="G33" s="6"/>
      <c r="H33" s="6" t="s">
        <v>1</v>
      </c>
    </row>
    <row r="34" spans="1:8" x14ac:dyDescent="0.25">
      <c r="A34" s="1" t="s">
        <v>9</v>
      </c>
      <c r="B34" s="2">
        <f>232679.73+48081.69</f>
        <v>280761.42000000004</v>
      </c>
      <c r="C34" s="2">
        <v>178169</v>
      </c>
      <c r="D34" s="2">
        <v>144831.04000000001</v>
      </c>
      <c r="E34" s="2">
        <v>82804.679999999993</v>
      </c>
      <c r="F34" s="2">
        <f>16734.8+4121.6+603.75</f>
        <v>21460.15</v>
      </c>
      <c r="G34" s="2">
        <v>29131.599999999999</v>
      </c>
      <c r="H34" s="2">
        <f>SUM(B34:G34)</f>
        <v>737157.89000000013</v>
      </c>
    </row>
    <row r="35" spans="1:8" x14ac:dyDescent="0.25">
      <c r="A35" s="1" t="s">
        <v>10</v>
      </c>
      <c r="B35" s="2">
        <v>340461</v>
      </c>
      <c r="C35" s="2">
        <v>291901</v>
      </c>
      <c r="D35" s="2">
        <v>258599</v>
      </c>
      <c r="E35" s="2">
        <v>124608</v>
      </c>
      <c r="F35" s="2">
        <f>12333.75+540.5</f>
        <v>12874.25</v>
      </c>
      <c r="G35" s="2">
        <v>49779.28</v>
      </c>
      <c r="H35" s="2">
        <f t="shared" ref="H35:H39" si="7">SUM(B35:G35)</f>
        <v>1078222.53</v>
      </c>
    </row>
    <row r="36" spans="1:8" x14ac:dyDescent="0.25">
      <c r="A36" s="1" t="s">
        <v>11</v>
      </c>
      <c r="B36" s="2">
        <v>85118.52</v>
      </c>
      <c r="C36" s="2">
        <v>14712</v>
      </c>
      <c r="D36" s="2">
        <v>58558.22</v>
      </c>
      <c r="E36" s="2">
        <v>21563.07</v>
      </c>
      <c r="F36" s="2">
        <f>1541+1412.2</f>
        <v>2953.2</v>
      </c>
      <c r="G36" s="2">
        <v>7046.2</v>
      </c>
      <c r="H36" s="2">
        <f t="shared" si="7"/>
        <v>189951.21000000002</v>
      </c>
    </row>
    <row r="37" spans="1:8" x14ac:dyDescent="0.25">
      <c r="A37" s="1" t="s">
        <v>12</v>
      </c>
      <c r="B37" s="2">
        <v>50031.839999999997</v>
      </c>
      <c r="C37" s="2">
        <v>62241.5</v>
      </c>
      <c r="D37" s="2">
        <v>100468.88</v>
      </c>
      <c r="E37" s="2">
        <v>25249.81</v>
      </c>
      <c r="F37" s="2">
        <f>1635.3+34.5</f>
        <v>1669.8</v>
      </c>
      <c r="G37" s="2">
        <v>13638.64</v>
      </c>
      <c r="H37" s="2">
        <f t="shared" si="7"/>
        <v>253300.46999999997</v>
      </c>
    </row>
    <row r="38" spans="1:8" x14ac:dyDescent="0.25">
      <c r="A38" s="1" t="s">
        <v>13</v>
      </c>
      <c r="B38" s="2">
        <v>125379.79</v>
      </c>
      <c r="C38" s="2">
        <v>40460.5</v>
      </c>
      <c r="D38" s="2">
        <v>102935.05</v>
      </c>
      <c r="E38" s="2">
        <v>30572.13</v>
      </c>
      <c r="F38" s="2">
        <f>2218.9+1744.15+1272.85</f>
        <v>5235.8999999999996</v>
      </c>
      <c r="G38" s="2">
        <v>13318.45</v>
      </c>
      <c r="H38" s="2">
        <f t="shared" si="7"/>
        <v>317901.82</v>
      </c>
    </row>
    <row r="39" spans="1:8" x14ac:dyDescent="0.25">
      <c r="A39" s="1" t="s">
        <v>14</v>
      </c>
      <c r="B39" s="2">
        <v>680510.38</v>
      </c>
      <c r="C39" s="2">
        <v>476672.41</v>
      </c>
      <c r="D39" s="2">
        <v>431498.72</v>
      </c>
      <c r="E39" s="2">
        <v>231970.45</v>
      </c>
      <c r="F39" s="2">
        <f>70052.25+13831.05+4744.9</f>
        <v>88628.2</v>
      </c>
      <c r="G39" s="2">
        <v>82325.75</v>
      </c>
      <c r="H39" s="2">
        <f t="shared" si="7"/>
        <v>1991605.91</v>
      </c>
    </row>
    <row r="40" spans="1:8" x14ac:dyDescent="0.25">
      <c r="A40" s="1" t="s">
        <v>15</v>
      </c>
      <c r="B40" s="2">
        <v>544431.80000000005</v>
      </c>
      <c r="C40" s="2">
        <v>308986</v>
      </c>
      <c r="D40" s="2">
        <v>349753.39</v>
      </c>
      <c r="E40" s="2">
        <f>6000+130571.94</f>
        <v>136571.94</v>
      </c>
      <c r="F40" s="2">
        <f>25484+4628.75+1443.25</f>
        <v>31556</v>
      </c>
      <c r="G40" s="2">
        <v>59489.06</v>
      </c>
      <c r="H40" s="2">
        <f>SUM(B40:G40)</f>
        <v>1430788.19</v>
      </c>
    </row>
    <row r="41" spans="1:8" ht="15.75" x14ac:dyDescent="0.25">
      <c r="A41" s="3" t="s">
        <v>16</v>
      </c>
      <c r="B41" s="4">
        <f>SUM(B34:B40)</f>
        <v>2106694.75</v>
      </c>
      <c r="C41" s="4">
        <f t="shared" ref="C41:G41" si="8">SUM(C34:C40)</f>
        <v>1373142.41</v>
      </c>
      <c r="D41" s="4">
        <f t="shared" si="8"/>
        <v>1446644.3000000003</v>
      </c>
      <c r="E41" s="4">
        <f t="shared" si="8"/>
        <v>653340.08000000007</v>
      </c>
      <c r="F41" s="4">
        <f t="shared" si="8"/>
        <v>164377.5</v>
      </c>
      <c r="G41" s="4">
        <f t="shared" si="8"/>
        <v>254728.97999999998</v>
      </c>
      <c r="H41" s="4">
        <f>SUM(H34:H40)</f>
        <v>5998928.0199999996</v>
      </c>
    </row>
  </sheetData>
  <mergeCells count="3">
    <mergeCell ref="B3:G3"/>
    <mergeCell ref="C4:F4"/>
    <mergeCell ref="B1:G1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OAA FUNDING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Joyce Warford</dc:creator>
  <cp:lastModifiedBy>Becky MacKenzie</cp:lastModifiedBy>
  <cp:lastPrinted>2017-11-28T16:31:07Z</cp:lastPrinted>
  <dcterms:created xsi:type="dcterms:W3CDTF">2017-11-02T14:02:14Z</dcterms:created>
  <dcterms:modified xsi:type="dcterms:W3CDTF">2019-04-22T15:54:00Z</dcterms:modified>
</cp:coreProperties>
</file>